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lundinmining.sharepoint.com/sites/TaxSharePoint/Shared Documents/2024 - Project Jupiter/S. 85 election/"/>
    </mc:Choice>
  </mc:AlternateContent>
  <xr:revisionPtr revIDLastSave="50" documentId="8_{79E9D8B1-DC69-43FA-A065-4964F1EFF0B4}" xr6:coauthVersionLast="47" xr6:coauthVersionMax="47" xr10:uidLastSave="{E1ACBF75-7F40-4326-B5BA-18CFFA95006B}"/>
  <bookViews>
    <workbookView xWindow="22932" yWindow="-108" windowWidth="23256" windowHeight="12456" tabRatio="783" xr2:uid="{EBB9E1DA-3C57-4896-983B-8C358343B179}"/>
  </bookViews>
  <sheets>
    <sheet name="Lundin Mining S.85 Calculator" sheetId="3" r:id="rId1"/>
    <sheet name="Formula"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4" l="1"/>
  <c r="C29" i="4"/>
  <c r="C41" i="4" l="1"/>
  <c r="F33" i="3"/>
  <c r="C36" i="4"/>
  <c r="F17" i="3"/>
  <c r="C14" i="4"/>
  <c r="C13" i="4"/>
  <c r="C21" i="4"/>
  <c r="C9" i="4"/>
  <c r="G48" i="4" l="1"/>
  <c r="D21" i="4"/>
  <c r="G36" i="4"/>
  <c r="F21" i="4"/>
  <c r="D22" i="4" l="1"/>
  <c r="E22" i="4" s="1"/>
  <c r="E21" i="4"/>
  <c r="C35" i="4" s="1"/>
  <c r="F50" i="3" l="1"/>
  <c r="D13" i="4"/>
  <c r="G35" i="4"/>
  <c r="F23" i="3"/>
  <c r="F26" i="3" s="1"/>
  <c r="F22" i="4"/>
  <c r="F48" i="3"/>
  <c r="F29" i="3"/>
  <c r="F21" i="3"/>
  <c r="D14" i="4"/>
  <c r="F14" i="3"/>
  <c r="F34" i="3"/>
  <c r="G37" i="4" l="1"/>
  <c r="D30" i="4" l="1"/>
  <c r="D29" i="4"/>
  <c r="G40" i="4" s="1"/>
  <c r="G38" i="4" l="1"/>
  <c r="G39" i="4" s="1"/>
  <c r="G43" i="4" l="1"/>
  <c r="G41" i="4"/>
  <c r="G42" i="4" s="1"/>
  <c r="F35" i="3"/>
  <c r="G50" i="4" l="1"/>
  <c r="G44" i="4"/>
  <c r="G49" i="4" s="1"/>
  <c r="C37" i="4" l="1"/>
  <c r="C30" i="4" s="1"/>
  <c r="C39" i="4" l="1"/>
  <c r="C40" i="4" s="1"/>
  <c r="C43" i="4" s="1"/>
  <c r="F16" i="3"/>
  <c r="F15" i="3" l="1"/>
  <c r="C42" i="4" l="1"/>
  <c r="F31" i="3" s="1"/>
  <c r="F36" i="3" s="1"/>
  <c r="F52" i="3" l="1"/>
  <c r="F25" i="3"/>
  <c r="C50" i="4"/>
  <c r="F56" i="3" s="1"/>
  <c r="C44" i="4"/>
  <c r="C49" i="4" s="1"/>
  <c r="F55" i="3" s="1"/>
  <c r="F58" i="3" l="1"/>
  <c r="F57" i="3"/>
</calcChain>
</file>

<file path=xl/sharedStrings.xml><?xml version="1.0" encoding="utf-8"?>
<sst xmlns="http://schemas.openxmlformats.org/spreadsheetml/2006/main" count="107" uniqueCount="84">
  <si>
    <t>Section 85 Election Assistant - Calculator</t>
  </si>
  <si>
    <t>Eligible Holders should input transaction details, adjusted cost base information and Elected Amounts in white cells</t>
  </si>
  <si>
    <t>Step 1: Enter the number of Filo Shares for which the Share Election was selected:</t>
  </si>
  <si>
    <t>Share Election</t>
  </si>
  <si>
    <t>Number of Filo Shares exchanged</t>
  </si>
  <si>
    <t>You will have received the following consideration for each Filo Share exchanged:</t>
  </si>
  <si>
    <t>1) Cash</t>
  </si>
  <si>
    <t>2) Number of Lundin Mining Shares</t>
  </si>
  <si>
    <t>3) Cash for each whole Lundin Mining Share</t>
  </si>
  <si>
    <t>Step 2: Enter the total Adjusted Cost Base ("ACB") of your Filo Shares that would be exchanged:</t>
  </si>
  <si>
    <t>Number of Filo Share(s) exchanged</t>
  </si>
  <si>
    <t>Total ACB of the Filo Share(s)</t>
  </si>
  <si>
    <t>Section 85 Election permitted under the Tax Act</t>
  </si>
  <si>
    <t>ACB Per Share</t>
  </si>
  <si>
    <t>Consideration received (after rounding pursuant to the Arrangement)</t>
  </si>
  <si>
    <t xml:space="preserve">1. Cash </t>
  </si>
  <si>
    <t>2.Common shares</t>
  </si>
  <si>
    <t xml:space="preserve">Number of Lundin Mining Shares received </t>
  </si>
  <si>
    <t>FMV per Lundin Mining Share</t>
  </si>
  <si>
    <t>FMV of Lundin Mining Shares received</t>
  </si>
  <si>
    <t>Aggregate  FMV of Consideration</t>
  </si>
  <si>
    <t>Step 3: Deferral options: Enter the Elected Amount below for the FIlo Shares disposed for which the Share Election was selected. The calculator below will indicate the capital gain that would be recognized at the selected Elected Amount (assuming that costs of disposition are nil).
The Elected Amounts must be within the below limits. The calculator will indicate "Error" in red below if an Elected Amount does not comply with the Tax Act.</t>
  </si>
  <si>
    <r>
      <rPr>
        <b/>
        <sz val="11"/>
        <color theme="1"/>
        <rFont val="Calibri"/>
        <family val="2"/>
        <scheme val="minor"/>
      </rPr>
      <t>Lower limit #1:</t>
    </r>
    <r>
      <rPr>
        <sz val="11"/>
        <color theme="1"/>
        <rFont val="Calibri"/>
        <family val="2"/>
        <scheme val="minor"/>
      </rPr>
      <t xml:space="preserve">  Elected Amount cannot be less than the aggregate amount of the non-share consideration (i.e., cash received) under the Share Election</t>
    </r>
  </si>
  <si>
    <r>
      <rPr>
        <b/>
        <sz val="11"/>
        <color theme="1"/>
        <rFont val="Calibri"/>
        <family val="2"/>
        <scheme val="minor"/>
      </rPr>
      <t xml:space="preserve">Lower Limit #2:  </t>
    </r>
    <r>
      <rPr>
        <sz val="11"/>
        <color theme="1"/>
        <rFont val="Calibri"/>
        <family val="2"/>
        <scheme val="minor"/>
      </rPr>
      <t>Elected Amount cannot be less than the lesser of (i) the Eligible Holder's ACB of Filo Shares disposed of under the Share Election  and (ii) the FMV of Eligible Holder's Filo Shares disposed of under the Share Election</t>
    </r>
  </si>
  <si>
    <r>
      <rPr>
        <b/>
        <sz val="11"/>
        <color theme="1"/>
        <rFont val="Calibri"/>
        <family val="2"/>
        <scheme val="minor"/>
      </rPr>
      <t xml:space="preserve">Upper Limit: </t>
    </r>
    <r>
      <rPr>
        <sz val="11"/>
        <color theme="1"/>
        <rFont val="Calibri"/>
        <family val="2"/>
        <scheme val="minor"/>
      </rPr>
      <t>The Elected Amount cannot be more than the FMV of the Filo Shares disposed of under the Share Election</t>
    </r>
  </si>
  <si>
    <t xml:space="preserve">Deferral options </t>
  </si>
  <si>
    <t>Gain to be recognized (assuming costs of disposition are nil)</t>
  </si>
  <si>
    <t>Gain deferred</t>
  </si>
  <si>
    <t>Elected Amount</t>
  </si>
  <si>
    <t>Upper Limit:</t>
  </si>
  <si>
    <t>Lower Limit:</t>
  </si>
  <si>
    <t>Consideration per Share of Filo before pro-ration</t>
  </si>
  <si>
    <t>Cash</t>
  </si>
  <si>
    <t>as set out in the Arrangement</t>
  </si>
  <si>
    <t># of Lundin Mining Shares</t>
  </si>
  <si>
    <t>FMV of Lundin Mining Share Value</t>
  </si>
  <si>
    <t>Cash consideration received for each whole Lundin Share</t>
  </si>
  <si>
    <t xml:space="preserve">Maximum Consideration </t>
  </si>
  <si>
    <t>Aggregate Cash Consideration</t>
  </si>
  <si>
    <t xml:space="preserve">as defined in the Arrangement </t>
  </si>
  <si>
    <t>All Cash</t>
  </si>
  <si>
    <t>All Share</t>
  </si>
  <si>
    <t>Number of the Share(s) of Filo</t>
  </si>
  <si>
    <t>Eligible Holders of Filo to input</t>
  </si>
  <si>
    <t>ACB of the Filo Share(s)</t>
  </si>
  <si>
    <t>Filo Share Structure as at Effective Date</t>
  </si>
  <si>
    <t>Shares outstanding</t>
  </si>
  <si>
    <t>per the Arrangement</t>
  </si>
  <si>
    <t>Cash or Shares</t>
  </si>
  <si>
    <t>Reach Max?</t>
  </si>
  <si>
    <t xml:space="preserve">% </t>
  </si>
  <si>
    <t>Consideration per Share of Filo after pro-ration</t>
  </si>
  <si>
    <t>Cash Election</t>
  </si>
  <si>
    <t xml:space="preserve">1) Cash </t>
  </si>
  <si>
    <t>2) # of Lundin Mining Share (rounded to 4 decimal places)</t>
  </si>
  <si>
    <t>3) Cash consideration received for each whole Lundin Share</t>
  </si>
  <si>
    <t>For Eligible Holder who select Cash Consideration after proration</t>
  </si>
  <si>
    <t>For Eligible Holder who select Share Consideration after proration</t>
  </si>
  <si>
    <t>Whether cash payable exceeds Maximum Cash Consideration</t>
  </si>
  <si>
    <t>Whether shares to be issued exceeds Maximum Share Consideration</t>
  </si>
  <si>
    <t>Aggregate cash consideration payable</t>
  </si>
  <si>
    <t>Lundin Mining shares issuable</t>
  </si>
  <si>
    <t>Cash Proration Factor</t>
  </si>
  <si>
    <t>No pro-ration</t>
  </si>
  <si>
    <t>Share Proration Factor</t>
  </si>
  <si>
    <t>Yes pro-ration</t>
  </si>
  <si>
    <t xml:space="preserve">Cash consideration </t>
  </si>
  <si>
    <t>Rounded to 6 decimals</t>
  </si>
  <si>
    <t># of Lundin Mining Shares pre rounding</t>
  </si>
  <si>
    <t># of Lundin Mining shares post rounding</t>
  </si>
  <si>
    <t>Rounded up to nearest whole share if entitled to 0.5 or more of a fractional share
Rounded down to nearest whole share if entitled to less than 0.5 of a fractional share</t>
  </si>
  <si>
    <t>Cash consideration</t>
  </si>
  <si>
    <t>Rounded to nearest cent</t>
  </si>
  <si>
    <t>(1) Total Cash Consideration Received</t>
  </si>
  <si>
    <t>(2) FMV of Lundin Mining Shares</t>
  </si>
  <si>
    <t>FMV of All Consideration (1)+(2)</t>
  </si>
  <si>
    <t>Deferral Option</t>
  </si>
  <si>
    <t>Elected amount</t>
  </si>
  <si>
    <t>Upper limit</t>
  </si>
  <si>
    <t>Lower limit</t>
  </si>
  <si>
    <t xml:space="preserve">Aggregate LMC Share Consideration </t>
  </si>
  <si>
    <t># of Filo Shares Electing Cash Consideration/Default</t>
  </si>
  <si>
    <t># of Filo Shares Electing Share Consideration</t>
  </si>
  <si>
    <t>closing share price January 14,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</si>
</sst>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6" formatCode="&quot;$&quot;#,##0;[Red]\-&quot;$&quot;#,##0"/>
    <numFmt numFmtId="8" formatCode="&quot;$&quot;#,##0.00;[Red]\-&quot;$&quot;#,##0.00"/>
    <numFmt numFmtId="44" formatCode="_-&quot;$&quot;* #,##0.00_-;\-&quot;$&quot;* #,##0.00_-;_-&quot;$&quot;* &quot;-&quot;??_-;_-@_-"/>
    <numFmt numFmtId="43" formatCode="_-* #,##0.00_-;\-* #,##0.00_-;_-* &quot;-&quot;??_-;_-@_-"/>
    <numFmt numFmtId="164" formatCode="&quot;$&quot;#,##0.0000;[Red]\-&quot;$&quot;#,##0.0000"/>
    <numFmt numFmtId="165" formatCode="0.0000"/>
    <numFmt numFmtId="166" formatCode="&quot;$&quot;#,##0.00"/>
    <numFmt numFmtId="167" formatCode="_-* #,##0_-;\-* #,##0_-;_-* &quot;-&quot;??_-;_-@_-"/>
    <numFmt numFmtId="168" formatCode="0.000000"/>
    <numFmt numFmtId="169" formatCode="&quot;$&quot;#,##0.000000;[Red]\-&quot;$&quot;#,##0.000000"/>
    <numFmt numFmtId="170" formatCode="#,##0.000000;\-#,##0.000000"/>
    <numFmt numFmtId="171" formatCode="_-&quot;$&quot;* #,##0_-;\-&quot;$&quot;* #,##0_-;_-&quot;$&quot;* &quot;-&quot;??_-;_-@_-"/>
    <numFmt numFmtId="172" formatCode="_-* #,##0.0000_-;\-* #,##0.0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color rgb="FF0000FF"/>
      <name val="Calibri"/>
      <family val="2"/>
      <scheme val="minor"/>
    </font>
    <font>
      <b/>
      <sz val="11"/>
      <color rgb="FFFF0000"/>
      <name val="Calibri"/>
      <family val="2"/>
      <scheme val="minor"/>
    </font>
    <font>
      <i/>
      <sz val="11"/>
      <color theme="1"/>
      <name val="Calibri"/>
      <family val="2"/>
      <scheme val="minor"/>
    </font>
    <font>
      <sz val="11"/>
      <name val="Calibri"/>
      <family val="2"/>
      <scheme val="minor"/>
    </font>
    <font>
      <i/>
      <sz val="11"/>
      <name val="Calibri"/>
      <family val="2"/>
      <scheme val="minor"/>
    </font>
    <font>
      <sz val="11"/>
      <color rgb="FFFF0000"/>
      <name val="Calibri"/>
      <family val="2"/>
      <scheme val="minor"/>
    </font>
    <font>
      <b/>
      <sz val="11"/>
      <color rgb="FFC00000"/>
      <name val="Calibri"/>
      <family val="2"/>
      <scheme val="minor"/>
    </font>
    <font>
      <i/>
      <sz val="11"/>
      <color rgb="FFFF0000"/>
      <name val="Calibri"/>
      <family val="2"/>
      <scheme val="minor"/>
    </font>
    <font>
      <b/>
      <sz val="20"/>
      <color theme="1"/>
      <name val="Calibri"/>
      <family val="2"/>
      <scheme val="minor"/>
    </font>
    <font>
      <b/>
      <sz val="12"/>
      <color rgb="FFC00000"/>
      <name val="Calibri"/>
      <family val="2"/>
      <scheme val="minor"/>
    </font>
    <font>
      <b/>
      <sz val="14"/>
      <color rgb="FFC00000"/>
      <name val="Calibri"/>
      <family val="2"/>
      <scheme val="minor"/>
    </font>
    <font>
      <sz val="11"/>
      <color rgb="FFC00000"/>
      <name val="Calibri"/>
      <family val="2"/>
      <scheme val="minor"/>
    </font>
    <font>
      <b/>
      <sz val="12"/>
      <color rgb="FF00B050"/>
      <name val="Calibri"/>
      <family val="2"/>
      <scheme val="minor"/>
    </font>
    <font>
      <b/>
      <i/>
      <sz val="11"/>
      <color rgb="FF00B050"/>
      <name val="Calibri"/>
      <family val="2"/>
      <scheme val="minor"/>
    </font>
    <font>
      <sz val="11"/>
      <color rgb="FF00B050"/>
      <name val="Calibri"/>
      <family val="2"/>
      <scheme val="minor"/>
    </font>
    <font>
      <sz val="11"/>
      <color rgb="FF7030A0"/>
      <name val="Calibri"/>
      <family val="2"/>
      <scheme val="minor"/>
    </font>
    <font>
      <i/>
      <sz val="11"/>
      <color rgb="FF7030A0"/>
      <name val="Calibri"/>
      <family val="2"/>
      <scheme val="minor"/>
    </font>
    <font>
      <b/>
      <sz val="8"/>
      <color rgb="FF0000FF"/>
      <name val="Arial"/>
      <family val="2"/>
    </font>
    <font>
      <b/>
      <sz val="11"/>
      <name val="Calibri"/>
      <family val="2"/>
      <scheme val="minor"/>
    </font>
    <font>
      <sz val="8"/>
      <name val="Arial"/>
      <family val="2"/>
    </font>
  </fonts>
  <fills count="10">
    <fill>
      <patternFill patternType="none"/>
    </fill>
    <fill>
      <patternFill patternType="gray125"/>
    </fill>
    <fill>
      <patternFill patternType="solid">
        <fgColor indexed="65"/>
        <bgColor indexed="64"/>
      </patternFill>
    </fill>
    <fill>
      <patternFill patternType="solid">
        <fgColor rgb="FFEFE9DC"/>
        <bgColor indexed="64"/>
      </patternFill>
    </fill>
    <fill>
      <patternFill patternType="solid">
        <fgColor theme="6"/>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C0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38">
    <xf numFmtId="0" fontId="0" fillId="0" borderId="0" xfId="0"/>
    <xf numFmtId="0" fontId="0" fillId="2" borderId="0" xfId="0" applyFill="1"/>
    <xf numFmtId="0" fontId="2" fillId="0" borderId="0" xfId="0" applyFont="1" applyAlignment="1">
      <alignment vertical="top"/>
    </xf>
    <xf numFmtId="0" fontId="0" fillId="0" borderId="0" xfId="0" applyAlignment="1">
      <alignment vertical="top"/>
    </xf>
    <xf numFmtId="0" fontId="5" fillId="0" borderId="0" xfId="0" applyFont="1" applyAlignment="1">
      <alignment vertical="top"/>
    </xf>
    <xf numFmtId="8" fontId="0" fillId="0" borderId="0" xfId="0" applyNumberFormat="1" applyAlignment="1">
      <alignment vertical="top"/>
    </xf>
    <xf numFmtId="0" fontId="6" fillId="0" borderId="0" xfId="0" applyFont="1" applyAlignment="1">
      <alignment vertical="top"/>
    </xf>
    <xf numFmtId="0" fontId="7" fillId="0" borderId="0" xfId="0" applyFont="1" applyAlignment="1">
      <alignment vertical="top"/>
    </xf>
    <xf numFmtId="0" fontId="7" fillId="0" borderId="0" xfId="0" quotePrefix="1" applyFont="1" applyAlignment="1">
      <alignment vertical="top"/>
    </xf>
    <xf numFmtId="0" fontId="0" fillId="0" borderId="0" xfId="0" applyAlignment="1">
      <alignment horizontal="left" vertical="top" indent="1"/>
    </xf>
    <xf numFmtId="0" fontId="2" fillId="0" borderId="9" xfId="0" applyFont="1" applyBorder="1" applyAlignment="1">
      <alignment vertical="top"/>
    </xf>
    <xf numFmtId="0" fontId="0" fillId="0" borderId="3" xfId="0" applyBorder="1" applyAlignment="1">
      <alignment vertical="top"/>
    </xf>
    <xf numFmtId="0" fontId="2" fillId="0" borderId="3" xfId="0" applyFont="1" applyBorder="1" applyAlignment="1">
      <alignment vertical="top"/>
    </xf>
    <xf numFmtId="0" fontId="0" fillId="0" borderId="11" xfId="0" applyBorder="1" applyAlignment="1">
      <alignment vertical="top"/>
    </xf>
    <xf numFmtId="0" fontId="6" fillId="0" borderId="12" xfId="0" applyFont="1" applyBorder="1" applyAlignment="1">
      <alignment vertical="top"/>
    </xf>
    <xf numFmtId="0" fontId="0" fillId="0" borderId="5" xfId="0" applyBorder="1" applyAlignment="1">
      <alignment vertical="top"/>
    </xf>
    <xf numFmtId="0" fontId="6" fillId="0" borderId="10" xfId="0" applyFont="1" applyBorder="1" applyAlignment="1">
      <alignment vertical="top"/>
    </xf>
    <xf numFmtId="0" fontId="6" fillId="0" borderId="4" xfId="0" applyFont="1" applyBorder="1" applyAlignment="1">
      <alignment vertical="top"/>
    </xf>
    <xf numFmtId="0" fontId="2" fillId="0" borderId="13" xfId="0" applyFont="1" applyBorder="1" applyAlignment="1">
      <alignment vertical="top"/>
    </xf>
    <xf numFmtId="0" fontId="6" fillId="0" borderId="14" xfId="0" applyFont="1" applyBorder="1" applyAlignment="1">
      <alignment vertical="top"/>
    </xf>
    <xf numFmtId="0" fontId="0" fillId="0" borderId="3" xfId="0" applyBorder="1" applyAlignment="1">
      <alignment horizontal="left" vertical="top" indent="1"/>
    </xf>
    <xf numFmtId="0" fontId="0" fillId="0" borderId="15" xfId="0" applyBorder="1" applyAlignment="1">
      <alignment horizontal="left" vertical="top" indent="1"/>
    </xf>
    <xf numFmtId="0" fontId="0" fillId="0" borderId="3" xfId="0" applyBorder="1"/>
    <xf numFmtId="0" fontId="0" fillId="0" borderId="5" xfId="0" applyBorder="1"/>
    <xf numFmtId="0" fontId="0" fillId="0" borderId="3" xfId="0" applyBorder="1" applyAlignment="1">
      <alignment horizontal="left" indent="1"/>
    </xf>
    <xf numFmtId="10" fontId="0" fillId="0" borderId="0" xfId="2" applyNumberFormat="1" applyFont="1" applyAlignment="1">
      <alignment horizontal="left" vertical="top"/>
    </xf>
    <xf numFmtId="0" fontId="8" fillId="0" borderId="0" xfId="0" applyFont="1" applyAlignment="1">
      <alignment vertical="top"/>
    </xf>
    <xf numFmtId="8" fontId="0" fillId="0" borderId="0" xfId="0" applyNumberFormat="1"/>
    <xf numFmtId="0" fontId="0" fillId="0" borderId="3" xfId="0" applyBorder="1" applyAlignment="1">
      <alignment horizontal="left" vertical="top"/>
    </xf>
    <xf numFmtId="0" fontId="8" fillId="2" borderId="0" xfId="0" applyFont="1" applyFill="1"/>
    <xf numFmtId="0" fontId="10" fillId="0" borderId="0" xfId="0" applyFont="1" applyAlignment="1">
      <alignment vertical="top"/>
    </xf>
    <xf numFmtId="0" fontId="0" fillId="3" borderId="0" xfId="0" applyFill="1"/>
    <xf numFmtId="0" fontId="2" fillId="3" borderId="0" xfId="0" applyFont="1" applyFill="1"/>
    <xf numFmtId="0" fontId="3" fillId="3" borderId="0" xfId="0" applyFont="1"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9" fillId="3" borderId="0" xfId="0" applyFont="1" applyFill="1" applyAlignment="1">
      <alignment horizontal="right"/>
    </xf>
    <xf numFmtId="0" fontId="0" fillId="3" borderId="1" xfId="0" applyFill="1" applyBorder="1" applyAlignment="1">
      <alignment vertical="top"/>
    </xf>
    <xf numFmtId="0" fontId="0" fillId="3" borderId="1" xfId="0" applyFill="1" applyBorder="1" applyAlignment="1">
      <alignment vertical="top" wrapText="1"/>
    </xf>
    <xf numFmtId="0" fontId="5" fillId="3" borderId="0" xfId="0" applyFont="1" applyFill="1"/>
    <xf numFmtId="8" fontId="0" fillId="4" borderId="1" xfId="1" applyNumberFormat="1" applyFont="1" applyFill="1" applyBorder="1"/>
    <xf numFmtId="165" fontId="0" fillId="4" borderId="1" xfId="0" applyNumberFormat="1" applyFill="1" applyBorder="1"/>
    <xf numFmtId="0" fontId="0" fillId="3" borderId="0" xfId="0" applyFill="1" applyAlignment="1">
      <alignment horizontal="left"/>
    </xf>
    <xf numFmtId="0" fontId="3" fillId="3" borderId="0" xfId="0" applyFont="1" applyFill="1" applyAlignment="1">
      <alignment horizontal="center"/>
    </xf>
    <xf numFmtId="0" fontId="0" fillId="3" borderId="2" xfId="0" applyFill="1" applyBorder="1" applyAlignment="1">
      <alignment horizontal="center"/>
    </xf>
    <xf numFmtId="0" fontId="0" fillId="3" borderId="1" xfId="0" applyFill="1" applyBorder="1" applyAlignment="1">
      <alignment horizontal="center" wrapText="1"/>
    </xf>
    <xf numFmtId="0" fontId="9" fillId="3" borderId="6" xfId="0" applyFont="1" applyFill="1" applyBorder="1"/>
    <xf numFmtId="0" fontId="0" fillId="3" borderId="9" xfId="0" applyFill="1" applyBorder="1"/>
    <xf numFmtId="0" fontId="0" fillId="0" borderId="5" xfId="0" applyBorder="1" applyAlignment="1">
      <alignment horizontal="left" vertical="top" indent="1"/>
    </xf>
    <xf numFmtId="0" fontId="2" fillId="0" borderId="13" xfId="0" applyFont="1" applyBorder="1"/>
    <xf numFmtId="8" fontId="0" fillId="0" borderId="14" xfId="0" applyNumberFormat="1" applyBorder="1" applyAlignment="1">
      <alignment vertical="top"/>
    </xf>
    <xf numFmtId="1" fontId="0" fillId="2" borderId="0" xfId="0" applyNumberFormat="1" applyFill="1"/>
    <xf numFmtId="0" fontId="0" fillId="3" borderId="18" xfId="0" applyFill="1" applyBorder="1" applyAlignment="1">
      <alignment horizontal="left" indent="1"/>
    </xf>
    <xf numFmtId="0" fontId="0" fillId="3" borderId="1" xfId="0" applyFill="1" applyBorder="1" applyAlignment="1">
      <alignment horizontal="left" wrapText="1"/>
    </xf>
    <xf numFmtId="0" fontId="0" fillId="3" borderId="17" xfId="0" applyFill="1" applyBorder="1" applyAlignment="1">
      <alignment horizontal="left" indent="1"/>
    </xf>
    <xf numFmtId="0" fontId="0" fillId="3" borderId="19" xfId="0" applyFill="1" applyBorder="1" applyAlignment="1">
      <alignment horizontal="left" indent="1"/>
    </xf>
    <xf numFmtId="0" fontId="0" fillId="3" borderId="0" xfId="0" applyFill="1" applyAlignment="1">
      <alignment horizontal="center"/>
    </xf>
    <xf numFmtId="0" fontId="0" fillId="3" borderId="0" xfId="0" applyFill="1" applyAlignment="1">
      <alignment horizontal="center" wrapText="1"/>
    </xf>
    <xf numFmtId="0" fontId="4" fillId="3" borderId="0" xfId="0" applyFont="1" applyFill="1"/>
    <xf numFmtId="8" fontId="2" fillId="3" borderId="7" xfId="2" applyNumberFormat="1" applyFont="1" applyFill="1" applyBorder="1"/>
    <xf numFmtId="0" fontId="13" fillId="3" borderId="7" xfId="0" applyFont="1" applyFill="1" applyBorder="1" applyAlignment="1">
      <alignment horizontal="center"/>
    </xf>
    <xf numFmtId="166" fontId="0" fillId="3" borderId="18" xfId="0" applyNumberFormat="1" applyFill="1" applyBorder="1"/>
    <xf numFmtId="166" fontId="0" fillId="3" borderId="19" xfId="0" applyNumberFormat="1" applyFill="1" applyBorder="1"/>
    <xf numFmtId="0" fontId="0" fillId="3" borderId="18" xfId="0" applyFill="1" applyBorder="1" applyAlignment="1">
      <alignment horizontal="left"/>
    </xf>
    <xf numFmtId="0" fontId="0" fillId="3" borderId="19" xfId="0" applyFill="1" applyBorder="1" applyAlignment="1">
      <alignment horizontal="left"/>
    </xf>
    <xf numFmtId="0" fontId="12" fillId="3" borderId="5" xfId="0" applyFont="1" applyFill="1" applyBorder="1"/>
    <xf numFmtId="0" fontId="14" fillId="3" borderId="0" xfId="0" applyFont="1" applyFill="1" applyAlignment="1">
      <alignment horizontal="center" vertical="center" wrapText="1"/>
    </xf>
    <xf numFmtId="0" fontId="2" fillId="3" borderId="0" xfId="0" applyFont="1" applyFill="1" applyAlignment="1">
      <alignment wrapText="1"/>
    </xf>
    <xf numFmtId="164" fontId="0" fillId="4" borderId="1" xfId="1" applyNumberFormat="1" applyFont="1" applyFill="1" applyBorder="1"/>
    <xf numFmtId="167" fontId="0" fillId="3" borderId="1" xfId="3" applyNumberFormat="1" applyFont="1" applyFill="1" applyBorder="1"/>
    <xf numFmtId="167" fontId="0" fillId="4" borderId="1" xfId="3" applyNumberFormat="1" applyFont="1" applyFill="1" applyBorder="1"/>
    <xf numFmtId="0" fontId="0" fillId="3" borderId="4" xfId="0" applyFill="1" applyBorder="1" applyAlignment="1">
      <alignment horizontal="center" wrapText="1"/>
    </xf>
    <xf numFmtId="0" fontId="0" fillId="3" borderId="3" xfId="0" applyFill="1" applyBorder="1" applyAlignment="1">
      <alignment vertical="top" wrapText="1"/>
    </xf>
    <xf numFmtId="0" fontId="6" fillId="0" borderId="2" xfId="0" applyFont="1" applyBorder="1" applyAlignment="1">
      <alignment vertical="top"/>
    </xf>
    <xf numFmtId="0" fontId="5" fillId="0" borderId="4" xfId="0" applyFont="1" applyBorder="1" applyAlignment="1">
      <alignment horizontal="center"/>
    </xf>
    <xf numFmtId="0" fontId="15" fillId="3" borderId="0" xfId="0" applyFont="1" applyFill="1" applyAlignment="1">
      <alignment vertical="top" wrapText="1"/>
    </xf>
    <xf numFmtId="0" fontId="16" fillId="3" borderId="0" xfId="0" applyFont="1" applyFill="1" applyAlignment="1">
      <alignment horizontal="center" vertical="center" wrapText="1"/>
    </xf>
    <xf numFmtId="0" fontId="17" fillId="3" borderId="0" xfId="0" applyFont="1" applyFill="1"/>
    <xf numFmtId="0" fontId="0" fillId="0" borderId="15" xfId="0" applyBorder="1" applyAlignment="1">
      <alignment horizontal="left" vertical="top"/>
    </xf>
    <xf numFmtId="49" fontId="6" fillId="0" borderId="22" xfId="0" applyNumberFormat="1" applyFont="1" applyBorder="1" applyAlignment="1">
      <alignment horizontal="right" vertical="top"/>
    </xf>
    <xf numFmtId="0" fontId="2" fillId="0" borderId="0" xfId="0" applyFont="1"/>
    <xf numFmtId="164" fontId="0" fillId="6" borderId="20" xfId="0" applyNumberFormat="1" applyFill="1" applyBorder="1" applyAlignment="1">
      <alignment vertical="top"/>
    </xf>
    <xf numFmtId="6" fontId="6" fillId="6" borderId="4" xfId="0" applyNumberFormat="1" applyFont="1" applyFill="1" applyBorder="1" applyAlignment="1">
      <alignment vertical="top"/>
    </xf>
    <xf numFmtId="8" fontId="6" fillId="6" borderId="4" xfId="0" applyNumberFormat="1" applyFont="1" applyFill="1" applyBorder="1" applyAlignment="1">
      <alignment vertical="top"/>
    </xf>
    <xf numFmtId="8" fontId="6" fillId="6" borderId="16" xfId="0" applyNumberFormat="1" applyFont="1" applyFill="1" applyBorder="1" applyAlignment="1">
      <alignment vertical="top"/>
    </xf>
    <xf numFmtId="8" fontId="6" fillId="6" borderId="7" xfId="0" applyNumberFormat="1" applyFont="1" applyFill="1" applyBorder="1" applyAlignment="1">
      <alignment vertical="top"/>
    </xf>
    <xf numFmtId="37" fontId="0" fillId="6" borderId="4" xfId="3" applyNumberFormat="1" applyFont="1" applyFill="1" applyBorder="1" applyAlignment="1">
      <alignment vertical="top"/>
    </xf>
    <xf numFmtId="8" fontId="0" fillId="6" borderId="4" xfId="0" applyNumberFormat="1" applyFill="1" applyBorder="1" applyAlignment="1">
      <alignment vertical="top"/>
    </xf>
    <xf numFmtId="8" fontId="0" fillId="6" borderId="7" xfId="0" applyNumberFormat="1" applyFill="1" applyBorder="1" applyAlignment="1">
      <alignment vertical="top"/>
    </xf>
    <xf numFmtId="167" fontId="0" fillId="7" borderId="0" xfId="3" applyNumberFormat="1" applyFont="1" applyFill="1"/>
    <xf numFmtId="8" fontId="0" fillId="7" borderId="0" xfId="0" applyNumberFormat="1" applyFill="1"/>
    <xf numFmtId="43" fontId="6" fillId="0" borderId="0" xfId="0" applyNumberFormat="1" applyFont="1" applyAlignment="1">
      <alignment vertical="top"/>
    </xf>
    <xf numFmtId="43" fontId="0" fillId="0" borderId="0" xfId="0" applyNumberFormat="1" applyAlignment="1">
      <alignment vertical="top"/>
    </xf>
    <xf numFmtId="168" fontId="6" fillId="5" borderId="4" xfId="0" applyNumberFormat="1" applyFont="1" applyFill="1" applyBorder="1" applyAlignment="1">
      <alignment vertical="top"/>
    </xf>
    <xf numFmtId="8" fontId="10" fillId="0" borderId="0" xfId="0" applyNumberFormat="1" applyFont="1" applyAlignment="1">
      <alignment vertical="top"/>
    </xf>
    <xf numFmtId="44" fontId="5" fillId="0" borderId="0" xfId="1" applyFont="1" applyAlignment="1">
      <alignment vertical="top"/>
    </xf>
    <xf numFmtId="8" fontId="5" fillId="0" borderId="0" xfId="0" applyNumberFormat="1" applyFont="1" applyAlignment="1">
      <alignment vertical="top"/>
    </xf>
    <xf numFmtId="0" fontId="0" fillId="3" borderId="0" xfId="0" applyFill="1" applyAlignment="1">
      <alignment vertical="center" wrapText="1"/>
    </xf>
    <xf numFmtId="0" fontId="20" fillId="0" borderId="0" xfId="0" applyFont="1"/>
    <xf numFmtId="6" fontId="6" fillId="8" borderId="4" xfId="0" applyNumberFormat="1" applyFont="1" applyFill="1" applyBorder="1" applyAlignment="1">
      <alignment vertical="top"/>
    </xf>
    <xf numFmtId="167" fontId="0" fillId="0" borderId="1" xfId="3" applyNumberFormat="1" applyFont="1" applyFill="1" applyBorder="1" applyProtection="1">
      <protection locked="0"/>
    </xf>
    <xf numFmtId="8" fontId="0" fillId="0" borderId="1" xfId="1" applyNumberFormat="1" applyFont="1" applyFill="1" applyBorder="1" applyProtection="1">
      <protection locked="0"/>
    </xf>
    <xf numFmtId="167" fontId="6" fillId="0" borderId="0" xfId="0" applyNumberFormat="1" applyFont="1" applyAlignment="1">
      <alignment vertical="top"/>
    </xf>
    <xf numFmtId="167" fontId="6" fillId="0" borderId="8" xfId="0" applyNumberFormat="1" applyFont="1" applyBorder="1" applyAlignment="1">
      <alignment vertical="top"/>
    </xf>
    <xf numFmtId="0" fontId="7" fillId="0" borderId="4" xfId="0" applyFont="1" applyBorder="1" applyAlignment="1">
      <alignment vertical="top"/>
    </xf>
    <xf numFmtId="167" fontId="0" fillId="0" borderId="0" xfId="3" applyNumberFormat="1" applyFont="1"/>
    <xf numFmtId="170" fontId="0" fillId="6" borderId="4" xfId="3" applyNumberFormat="1" applyFont="1" applyFill="1" applyBorder="1" applyAlignment="1">
      <alignment vertical="top"/>
    </xf>
    <xf numFmtId="0" fontId="8" fillId="0" borderId="0" xfId="0" quotePrefix="1" applyFont="1" applyAlignment="1">
      <alignment vertical="top" wrapText="1"/>
    </xf>
    <xf numFmtId="168" fontId="6" fillId="6" borderId="4" xfId="0" applyNumberFormat="1" applyFont="1" applyFill="1" applyBorder="1" applyAlignment="1">
      <alignment vertical="top"/>
    </xf>
    <xf numFmtId="169" fontId="0" fillId="6" borderId="23" xfId="0" applyNumberFormat="1" applyFill="1" applyBorder="1" applyAlignment="1">
      <alignment vertical="top"/>
    </xf>
    <xf numFmtId="169" fontId="0" fillId="6" borderId="24" xfId="0" applyNumberFormat="1" applyFill="1" applyBorder="1" applyAlignment="1">
      <alignment vertical="top"/>
    </xf>
    <xf numFmtId="2" fontId="0" fillId="0" borderId="0" xfId="0" applyNumberFormat="1" applyAlignment="1">
      <alignment vertical="top"/>
    </xf>
    <xf numFmtId="169" fontId="6" fillId="6" borderId="4" xfId="0" applyNumberFormat="1" applyFont="1" applyFill="1" applyBorder="1" applyAlignment="1">
      <alignment vertical="top"/>
    </xf>
    <xf numFmtId="8" fontId="2" fillId="0" borderId="20" xfId="0" applyNumberFormat="1" applyFont="1" applyBorder="1" applyAlignment="1">
      <alignment vertical="top"/>
      <extLst>
        <ext xmlns:xfpb="http://schemas.microsoft.com/office/spreadsheetml/2022/featurepropertybag" uri="{C7286773-470A-42A8-94C5-96B5CB345126}">
          <xfpb:xfComplement i="0"/>
        </ext>
      </extLst>
    </xf>
    <xf numFmtId="165" fontId="2" fillId="0" borderId="20" xfId="3" applyNumberFormat="1" applyFont="1" applyBorder="1" applyAlignment="1">
      <alignment horizontal="right" vertical="top"/>
    </xf>
    <xf numFmtId="164" fontId="2" fillId="0" borderId="20" xfId="0" applyNumberFormat="1" applyFont="1" applyBorder="1" applyAlignment="1">
      <alignment vertical="top"/>
    </xf>
    <xf numFmtId="167" fontId="7" fillId="0" borderId="0" xfId="3" applyNumberFormat="1" applyFont="1" applyAlignment="1">
      <alignment vertical="top"/>
    </xf>
    <xf numFmtId="44" fontId="22" fillId="0" borderId="0" xfId="0" applyNumberFormat="1" applyFont="1"/>
    <xf numFmtId="167" fontId="2" fillId="9" borderId="20" xfId="3" applyNumberFormat="1" applyFont="1" applyFill="1" applyBorder="1" applyAlignment="1">
      <alignment vertical="top"/>
    </xf>
    <xf numFmtId="8" fontId="2" fillId="9" borderId="20" xfId="0" applyNumberFormat="1" applyFont="1" applyFill="1" applyBorder="1" applyAlignment="1">
      <alignment vertical="top"/>
      <extLst>
        <ext xmlns:xfpb="http://schemas.microsoft.com/office/spreadsheetml/2022/featurepropertybag" uri="{C7286773-470A-42A8-94C5-96B5CB345126}">
          <xfpb:xfComplement i="0"/>
        </ext>
      </extLst>
    </xf>
    <xf numFmtId="171" fontId="2" fillId="9" borderId="0" xfId="0" applyNumberFormat="1" applyFont="1" applyFill="1"/>
    <xf numFmtId="167" fontId="21" fillId="9" borderId="20" xfId="3" applyNumberFormat="1" applyFont="1" applyFill="1" applyBorder="1" applyAlignment="1">
      <alignment vertical="top"/>
    </xf>
    <xf numFmtId="167" fontId="21" fillId="9" borderId="20" xfId="3" applyNumberFormat="1" applyFont="1" applyFill="1" applyBorder="1" applyAlignment="1">
      <alignment horizontal="right" vertical="top"/>
    </xf>
    <xf numFmtId="172" fontId="0" fillId="6" borderId="20" xfId="3" applyNumberFormat="1" applyFont="1" applyFill="1" applyBorder="1" applyAlignment="1">
      <alignment vertical="top"/>
    </xf>
    <xf numFmtId="172" fontId="0" fillId="6" borderId="23" xfId="3" applyNumberFormat="1" applyFont="1" applyFill="1" applyBorder="1" applyAlignment="1">
      <alignment vertical="top"/>
    </xf>
    <xf numFmtId="169" fontId="0" fillId="6" borderId="21" xfId="0" applyNumberFormat="1" applyFill="1" applyBorder="1" applyAlignment="1">
      <alignment vertical="top"/>
    </xf>
    <xf numFmtId="0" fontId="11" fillId="3" borderId="0" xfId="0" applyFont="1" applyFill="1" applyAlignment="1">
      <alignment horizontal="left"/>
    </xf>
    <xf numFmtId="0" fontId="2" fillId="3" borderId="0" xfId="0" applyFont="1" applyFill="1" applyAlignment="1">
      <alignment horizontal="left" wrapText="1"/>
    </xf>
    <xf numFmtId="0" fontId="0" fillId="3" borderId="0" xfId="0" applyFill="1" applyAlignment="1">
      <alignment vertical="center" wrapText="1"/>
    </xf>
    <xf numFmtId="167" fontId="21" fillId="9" borderId="25" xfId="3" applyNumberFormat="1" applyFont="1" applyFill="1" applyBorder="1" applyAlignment="1">
      <alignment vertical="top"/>
    </xf>
    <xf numFmtId="37" fontId="0" fillId="8" borderId="4" xfId="3" applyNumberFormat="1" applyFont="1" applyFill="1" applyBorder="1" applyAlignment="1">
      <alignment vertical="top"/>
    </xf>
    <xf numFmtId="0" fontId="19" fillId="0" borderId="0" xfId="0" applyFont="1" applyBorder="1" applyAlignment="1">
      <alignment horizontal="right" vertical="top"/>
    </xf>
    <xf numFmtId="167" fontId="18" fillId="0" borderId="0" xfId="3" applyNumberFormat="1" applyFont="1" applyBorder="1" applyAlignment="1">
      <alignment vertical="top"/>
    </xf>
    <xf numFmtId="0" fontId="19" fillId="0" borderId="0" xfId="0" applyFont="1" applyBorder="1" applyAlignment="1">
      <alignment vertical="top"/>
    </xf>
  </cellXfs>
  <cellStyles count="4">
    <cellStyle name="Comma" xfId="3" builtinId="3"/>
    <cellStyle name="Currency" xfId="1" builtinId="4"/>
    <cellStyle name="Normal" xfId="0" builtinId="0"/>
    <cellStyle name="Percent" xfId="2" builtinId="5"/>
  </cellStyles>
  <dxfs count="2">
    <dxf>
      <font>
        <color theme="0"/>
      </font>
      <fill>
        <patternFill>
          <bgColor rgb="FFC00000"/>
        </patternFill>
      </fill>
    </dxf>
    <dxf>
      <font>
        <b/>
        <i val="0"/>
        <color theme="0"/>
      </font>
      <fill>
        <patternFill>
          <bgColor rgb="FFC00000"/>
        </patternFill>
      </fill>
    </dxf>
  </dxfs>
  <tableStyles count="1" defaultTableStyle="TableStyleMedium2" defaultPivotStyle="PivotStyleLight16">
    <tableStyle name="Invisible" pivot="0" table="0" count="0" xr9:uid="{DEE495C8-6E8D-404D-A321-2C2B2FCDABD3}"/>
  </tableStyles>
  <colors>
    <mruColors>
      <color rgb="FFFFFF99"/>
      <color rgb="FFEFE9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47AD8-7C3B-43DF-85C9-45B47CAF3E7D}">
  <sheetPr codeName="Sheet1"/>
  <dimension ref="A2:K58"/>
  <sheetViews>
    <sheetView tabSelected="1" topLeftCell="A6" zoomScale="70" zoomScaleNormal="70" workbookViewId="0">
      <selection activeCell="F11" sqref="F11"/>
    </sheetView>
  </sheetViews>
  <sheetFormatPr defaultColWidth="8.88671875" defaultRowHeight="14.4" x14ac:dyDescent="0.3"/>
  <cols>
    <col min="1" max="1" width="3" style="1" customWidth="1"/>
    <col min="2" max="2" width="25.5546875" style="1" customWidth="1"/>
    <col min="3" max="3" width="54.109375" style="1" customWidth="1"/>
    <col min="4" max="4" width="9.5546875" style="1" customWidth="1"/>
    <col min="5" max="5" width="11.109375" style="1" customWidth="1"/>
    <col min="6" max="6" width="37.5546875" style="1" customWidth="1"/>
    <col min="7" max="7" width="28.5546875" style="1" customWidth="1"/>
    <col min="8" max="8" width="9.44140625" style="1" customWidth="1"/>
    <col min="9" max="9" width="26.44140625" style="1" customWidth="1"/>
    <col min="10" max="10" width="14.109375" style="1" bestFit="1" customWidth="1"/>
    <col min="11" max="16384" width="8.88671875" style="1"/>
  </cols>
  <sheetData>
    <row r="2" spans="2:8" x14ac:dyDescent="0.3">
      <c r="B2" s="31"/>
      <c r="C2" s="31"/>
      <c r="D2" s="31"/>
      <c r="E2" s="31"/>
      <c r="F2" s="31"/>
      <c r="G2" s="31"/>
      <c r="H2" s="31"/>
    </row>
    <row r="3" spans="2:8" ht="26.1" x14ac:dyDescent="0.55000000000000004">
      <c r="B3" s="31"/>
      <c r="C3" s="130" t="s">
        <v>0</v>
      </c>
      <c r="D3" s="130"/>
      <c r="E3" s="130"/>
      <c r="F3" s="130"/>
      <c r="G3" s="130"/>
      <c r="H3" s="130"/>
    </row>
    <row r="4" spans="2:8" x14ac:dyDescent="0.3">
      <c r="B4" s="31"/>
      <c r="C4" s="31"/>
      <c r="D4" s="31"/>
      <c r="E4" s="31"/>
      <c r="F4" s="31"/>
      <c r="G4" s="31"/>
      <c r="H4" s="31"/>
    </row>
    <row r="5" spans="2:8" x14ac:dyDescent="0.3">
      <c r="B5" s="31"/>
      <c r="C5" s="43"/>
      <c r="D5" s="31"/>
      <c r="E5" s="31"/>
      <c r="F5" s="31"/>
      <c r="G5" s="31"/>
      <c r="H5" s="31"/>
    </row>
    <row r="6" spans="2:8" x14ac:dyDescent="0.3">
      <c r="B6" s="31"/>
      <c r="C6" s="43" t="s">
        <v>1</v>
      </c>
      <c r="D6" s="31"/>
      <c r="E6" s="31"/>
      <c r="F6" s="31"/>
      <c r="G6" s="31"/>
      <c r="H6" s="31"/>
    </row>
    <row r="7" spans="2:8" x14ac:dyDescent="0.3">
      <c r="B7" s="31"/>
      <c r="C7" s="31"/>
      <c r="D7" s="31"/>
      <c r="E7" s="31"/>
      <c r="F7" s="31"/>
      <c r="G7" s="31"/>
      <c r="H7" s="31"/>
    </row>
    <row r="8" spans="2:8" x14ac:dyDescent="0.3">
      <c r="B8" s="31"/>
      <c r="C8" s="32" t="s">
        <v>2</v>
      </c>
      <c r="D8" s="31"/>
      <c r="E8" s="31"/>
      <c r="F8" s="31"/>
      <c r="G8" s="31"/>
      <c r="H8" s="31"/>
    </row>
    <row r="9" spans="2:8" ht="15" thickBot="1" x14ac:dyDescent="0.35">
      <c r="B9" s="31"/>
      <c r="C9" s="32"/>
      <c r="D9" s="31"/>
      <c r="E9" s="31"/>
      <c r="F9" s="31"/>
      <c r="G9" s="31"/>
      <c r="H9" s="31"/>
    </row>
    <row r="10" spans="2:8" ht="15" thickBot="1" x14ac:dyDescent="0.35">
      <c r="B10" s="31"/>
      <c r="C10" s="32"/>
      <c r="D10" s="31"/>
      <c r="E10" s="31"/>
      <c r="F10" s="49" t="s">
        <v>3</v>
      </c>
      <c r="G10" s="33"/>
      <c r="H10" s="33"/>
    </row>
    <row r="11" spans="2:8" ht="15" thickBot="1" x14ac:dyDescent="0.35">
      <c r="B11" s="31"/>
      <c r="C11" s="31" t="s">
        <v>4</v>
      </c>
      <c r="D11" s="31"/>
      <c r="E11" s="31"/>
      <c r="F11" s="104">
        <v>1000</v>
      </c>
      <c r="G11" s="33"/>
      <c r="H11" s="33"/>
    </row>
    <row r="12" spans="2:8" x14ac:dyDescent="0.3">
      <c r="B12" s="31"/>
      <c r="C12" s="31"/>
      <c r="D12" s="31"/>
      <c r="E12" s="31"/>
      <c r="F12" s="31"/>
      <c r="G12" s="33"/>
      <c r="H12" s="33"/>
    </row>
    <row r="13" spans="2:8" ht="15" thickBot="1" x14ac:dyDescent="0.35">
      <c r="B13" s="31"/>
      <c r="C13" s="32" t="s">
        <v>5</v>
      </c>
      <c r="D13" s="31"/>
      <c r="E13" s="31"/>
      <c r="F13" s="31"/>
      <c r="G13" s="31"/>
      <c r="H13" s="31"/>
    </row>
    <row r="14" spans="2:8" ht="15" thickBot="1" x14ac:dyDescent="0.35">
      <c r="B14" s="31"/>
      <c r="C14" s="32"/>
      <c r="D14" s="31"/>
      <c r="E14" s="31"/>
      <c r="F14" s="49" t="str">
        <f>F10</f>
        <v>Share Election</v>
      </c>
      <c r="G14" s="31"/>
      <c r="H14" s="31"/>
    </row>
    <row r="15" spans="2:8" ht="15" thickBot="1" x14ac:dyDescent="0.35">
      <c r="B15" s="31"/>
      <c r="C15" s="31" t="s">
        <v>6</v>
      </c>
      <c r="D15" s="31"/>
      <c r="E15" s="31"/>
      <c r="F15" s="72">
        <f>Formula!C29</f>
        <v>27.48927152122911</v>
      </c>
      <c r="G15" s="31"/>
      <c r="H15" s="31"/>
    </row>
    <row r="16" spans="2:8" ht="15" thickBot="1" x14ac:dyDescent="0.35">
      <c r="B16" s="31"/>
      <c r="C16" s="31" t="s">
        <v>7</v>
      </c>
      <c r="D16" s="31"/>
      <c r="E16" s="31"/>
      <c r="F16" s="45">
        <f>Formula!C30</f>
        <v>0.39373320021957581</v>
      </c>
      <c r="G16" s="31"/>
      <c r="H16" s="31"/>
    </row>
    <row r="17" spans="1:11" ht="15" thickBot="1" x14ac:dyDescent="0.35">
      <c r="B17" s="31"/>
      <c r="C17" s="31" t="s">
        <v>8</v>
      </c>
      <c r="D17" s="31"/>
      <c r="E17" s="31"/>
      <c r="F17" s="72">
        <f>Formula!C31</f>
        <v>1E-4</v>
      </c>
      <c r="G17" s="31"/>
      <c r="H17" s="31"/>
    </row>
    <row r="18" spans="1:11" x14ac:dyDescent="0.3">
      <c r="B18" s="31"/>
      <c r="C18" s="31"/>
      <c r="D18" s="31"/>
      <c r="E18" s="31"/>
      <c r="F18" s="31"/>
      <c r="G18" s="31"/>
      <c r="H18" s="31"/>
    </row>
    <row r="19" spans="1:11" x14ac:dyDescent="0.3">
      <c r="B19" s="31"/>
      <c r="C19" s="32" t="s">
        <v>9</v>
      </c>
      <c r="D19" s="31"/>
      <c r="E19" s="31"/>
      <c r="F19" s="31"/>
      <c r="G19" s="31"/>
      <c r="H19" s="31"/>
    </row>
    <row r="20" spans="1:11" ht="15" thickBot="1" x14ac:dyDescent="0.35">
      <c r="B20" s="31"/>
      <c r="C20" s="31"/>
      <c r="D20" s="31"/>
      <c r="E20" s="31"/>
      <c r="F20" s="31"/>
      <c r="G20" s="31"/>
      <c r="H20" s="31"/>
    </row>
    <row r="21" spans="1:11" ht="15" thickBot="1" x14ac:dyDescent="0.35">
      <c r="B21" s="31"/>
      <c r="C21" s="51"/>
      <c r="D21" s="35"/>
      <c r="E21" s="35"/>
      <c r="F21" s="49" t="str">
        <f>F10</f>
        <v>Share Election</v>
      </c>
      <c r="G21" s="31"/>
      <c r="H21" s="31"/>
    </row>
    <row r="22" spans="1:11" ht="15" thickBot="1" x14ac:dyDescent="0.35">
      <c r="B22" s="31"/>
      <c r="C22" s="36"/>
      <c r="D22" s="31"/>
      <c r="E22" s="31"/>
      <c r="F22" s="37"/>
      <c r="G22" s="31"/>
      <c r="H22" s="31"/>
      <c r="K22" s="55"/>
    </row>
    <row r="23" spans="1:11" ht="15" thickBot="1" x14ac:dyDescent="0.35">
      <c r="A23" s="29"/>
      <c r="B23" s="31"/>
      <c r="C23" s="57" t="s">
        <v>10</v>
      </c>
      <c r="D23" s="31"/>
      <c r="E23" s="31"/>
      <c r="F23" s="73">
        <f>F11</f>
        <v>1000</v>
      </c>
      <c r="G23" s="31"/>
      <c r="H23" s="31"/>
    </row>
    <row r="24" spans="1:11" ht="15" thickBot="1" x14ac:dyDescent="0.35">
      <c r="B24" s="31"/>
      <c r="C24" s="57" t="s">
        <v>11</v>
      </c>
      <c r="D24" s="31"/>
      <c r="E24" s="31"/>
      <c r="F24" s="105">
        <v>15000</v>
      </c>
      <c r="G24" s="31"/>
      <c r="H24" s="31"/>
    </row>
    <row r="25" spans="1:11" ht="18.899999999999999" thickBot="1" x14ac:dyDescent="0.45">
      <c r="B25" s="31"/>
      <c r="C25" s="69" t="s">
        <v>12</v>
      </c>
      <c r="D25" s="50"/>
      <c r="E25" s="39"/>
      <c r="F25" s="64" t="str">
        <f>IF(OR(OR(F23="",F24=""),(AND(F24&lt;F36,F33&gt;0))),"Yes","No")</f>
        <v>Yes</v>
      </c>
      <c r="G25" s="31"/>
      <c r="H25" s="31"/>
    </row>
    <row r="26" spans="1:11" ht="16.05" x14ac:dyDescent="0.3">
      <c r="B26" s="40"/>
      <c r="C26" s="79" t="s">
        <v>13</v>
      </c>
      <c r="D26" s="31"/>
      <c r="E26" s="81"/>
      <c r="F26" s="80">
        <f>F24/F23</f>
        <v>15</v>
      </c>
      <c r="G26" s="31"/>
      <c r="H26" s="31"/>
    </row>
    <row r="27" spans="1:11" x14ac:dyDescent="0.3">
      <c r="B27" s="31"/>
      <c r="C27" s="31"/>
      <c r="D27" s="31"/>
      <c r="E27" s="31"/>
      <c r="F27" s="31"/>
      <c r="G27" s="31"/>
      <c r="H27" s="31"/>
    </row>
    <row r="28" spans="1:11" ht="15" thickBot="1" x14ac:dyDescent="0.35">
      <c r="B28" s="31"/>
      <c r="C28" s="32"/>
      <c r="D28" s="31"/>
      <c r="E28" s="31"/>
      <c r="F28" s="31"/>
      <c r="G28" s="31"/>
      <c r="H28" s="31"/>
    </row>
    <row r="29" spans="1:11" ht="34.5" customHeight="1" thickBot="1" x14ac:dyDescent="0.35">
      <c r="B29" s="31"/>
      <c r="C29" s="42" t="s">
        <v>14</v>
      </c>
      <c r="D29" s="35"/>
      <c r="E29" s="48"/>
      <c r="F29" s="49" t="str">
        <f>F10</f>
        <v>Share Election</v>
      </c>
      <c r="G29" s="60"/>
      <c r="H29" s="61"/>
    </row>
    <row r="30" spans="1:11" ht="15" thickBot="1" x14ac:dyDescent="0.35">
      <c r="B30" s="31"/>
      <c r="C30" s="76"/>
      <c r="D30" s="31"/>
      <c r="E30" s="60"/>
      <c r="F30" s="75"/>
      <c r="G30" s="60"/>
      <c r="H30" s="61"/>
    </row>
    <row r="31" spans="1:11" ht="15" thickBot="1" x14ac:dyDescent="0.35">
      <c r="B31" s="31"/>
      <c r="C31" s="34" t="s">
        <v>15</v>
      </c>
      <c r="D31" s="31"/>
      <c r="E31" s="62"/>
      <c r="F31" s="44">
        <f>Formula!C42</f>
        <v>27489.31</v>
      </c>
      <c r="G31" s="62"/>
      <c r="H31" s="61"/>
    </row>
    <row r="32" spans="1:11" ht="15" thickBot="1" x14ac:dyDescent="0.35">
      <c r="B32" s="31"/>
      <c r="C32" s="36" t="s">
        <v>16</v>
      </c>
      <c r="D32" s="31"/>
      <c r="E32" s="31"/>
      <c r="F32" s="37"/>
      <c r="G32" s="31"/>
      <c r="H32" s="61"/>
    </row>
    <row r="33" spans="2:8" ht="15" thickBot="1" x14ac:dyDescent="0.35">
      <c r="B33" s="31"/>
      <c r="C33" s="58" t="s">
        <v>17</v>
      </c>
      <c r="D33" s="31"/>
      <c r="E33" s="31"/>
      <c r="F33" s="74">
        <f>Formula!C40</f>
        <v>394</v>
      </c>
      <c r="G33" s="31"/>
      <c r="H33" s="61"/>
    </row>
    <row r="34" spans="2:8" ht="15" thickBot="1" x14ac:dyDescent="0.35">
      <c r="B34" s="31"/>
      <c r="C34" s="56" t="s">
        <v>18</v>
      </c>
      <c r="D34" s="31"/>
      <c r="E34" s="31"/>
      <c r="F34" s="44">
        <f>Formula!C5</f>
        <v>12.22</v>
      </c>
      <c r="G34" s="31"/>
      <c r="H34" s="61"/>
    </row>
    <row r="35" spans="2:8" ht="15" thickBot="1" x14ac:dyDescent="0.35">
      <c r="B35" s="31"/>
      <c r="C35" s="59" t="s">
        <v>19</v>
      </c>
      <c r="D35" s="31"/>
      <c r="E35" s="31"/>
      <c r="F35" s="44">
        <f>'Lundin Mining S.85 Calculator'!F33*'Lundin Mining S.85 Calculator'!F34</f>
        <v>4814.68</v>
      </c>
      <c r="G35" s="31"/>
      <c r="H35" s="61"/>
    </row>
    <row r="36" spans="2:8" ht="15" thickBot="1" x14ac:dyDescent="0.35">
      <c r="B36" s="31"/>
      <c r="C36" s="38" t="s">
        <v>20</v>
      </c>
      <c r="D36" s="39"/>
      <c r="E36" s="39"/>
      <c r="F36" s="63">
        <f>F31+F35</f>
        <v>32303.99</v>
      </c>
      <c r="G36" s="31"/>
      <c r="H36" s="61"/>
    </row>
    <row r="37" spans="2:8" x14ac:dyDescent="0.3">
      <c r="B37" s="31"/>
      <c r="C37" s="31"/>
      <c r="D37" s="31"/>
      <c r="E37" s="31"/>
      <c r="F37" s="31"/>
      <c r="G37" s="31"/>
      <c r="H37" s="61"/>
    </row>
    <row r="38" spans="2:8" x14ac:dyDescent="0.3">
      <c r="B38" s="31"/>
      <c r="C38" s="131" t="s">
        <v>21</v>
      </c>
      <c r="D38" s="131"/>
      <c r="E38" s="131"/>
      <c r="F38" s="131"/>
      <c r="G38" s="131"/>
      <c r="H38" s="71"/>
    </row>
    <row r="39" spans="2:8" x14ac:dyDescent="0.3">
      <c r="B39" s="31"/>
      <c r="C39" s="131"/>
      <c r="D39" s="131"/>
      <c r="E39" s="131"/>
      <c r="F39" s="131"/>
      <c r="G39" s="131"/>
      <c r="H39" s="71"/>
    </row>
    <row r="40" spans="2:8" x14ac:dyDescent="0.3">
      <c r="B40" s="31"/>
      <c r="C40" s="46"/>
      <c r="D40" s="31"/>
      <c r="E40" s="31"/>
      <c r="F40" s="31"/>
      <c r="G40" s="31"/>
      <c r="H40" s="31"/>
    </row>
    <row r="41" spans="2:8" x14ac:dyDescent="0.3">
      <c r="B41" s="31"/>
      <c r="C41" s="132" t="s">
        <v>22</v>
      </c>
      <c r="D41" s="132"/>
      <c r="E41" s="132"/>
      <c r="F41" s="132"/>
      <c r="G41" s="132"/>
      <c r="H41" s="31"/>
    </row>
    <row r="42" spans="2:8" x14ac:dyDescent="0.3">
      <c r="B42" s="31"/>
      <c r="C42" s="101"/>
      <c r="D42" s="101"/>
      <c r="E42" s="101"/>
      <c r="F42" s="101"/>
      <c r="G42" s="101"/>
      <c r="H42" s="31"/>
    </row>
    <row r="43" spans="2:8" ht="31.35" customHeight="1" x14ac:dyDescent="0.3">
      <c r="B43" s="31"/>
      <c r="C43" s="132" t="s">
        <v>23</v>
      </c>
      <c r="D43" s="132"/>
      <c r="E43" s="132"/>
      <c r="F43" s="132"/>
      <c r="G43" s="132"/>
      <c r="H43" s="31"/>
    </row>
    <row r="44" spans="2:8" x14ac:dyDescent="0.3">
      <c r="B44" s="31"/>
      <c r="C44" s="101"/>
      <c r="D44" s="101"/>
      <c r="E44" s="101"/>
      <c r="F44" s="101"/>
      <c r="G44" s="101"/>
      <c r="H44" s="31"/>
    </row>
    <row r="45" spans="2:8" x14ac:dyDescent="0.3">
      <c r="B45" s="31"/>
      <c r="C45" s="132" t="s">
        <v>24</v>
      </c>
      <c r="D45" s="132"/>
      <c r="E45" s="132"/>
      <c r="F45" s="132"/>
      <c r="G45" s="132"/>
      <c r="H45" s="31"/>
    </row>
    <row r="46" spans="2:8" x14ac:dyDescent="0.3">
      <c r="B46" s="31"/>
      <c r="C46" s="31"/>
      <c r="D46" s="31"/>
      <c r="E46" s="31"/>
      <c r="F46" s="31"/>
      <c r="G46" s="31"/>
      <c r="H46" s="31"/>
    </row>
    <row r="47" spans="2:8" ht="15" thickBot="1" x14ac:dyDescent="0.35">
      <c r="B47" s="31"/>
      <c r="C47" s="31"/>
      <c r="D47" s="31"/>
      <c r="E47" s="31"/>
      <c r="F47" s="31"/>
      <c r="G47" s="31"/>
      <c r="H47" s="31"/>
    </row>
    <row r="48" spans="2:8" ht="15" thickBot="1" x14ac:dyDescent="0.35">
      <c r="B48" s="31"/>
      <c r="C48" s="41" t="s">
        <v>25</v>
      </c>
      <c r="D48" s="35"/>
      <c r="E48" s="48"/>
      <c r="F48" s="49" t="str">
        <f>F10</f>
        <v>Share Election</v>
      </c>
      <c r="G48" s="31"/>
      <c r="H48" s="31"/>
    </row>
    <row r="49" spans="2:8" ht="15" thickBot="1" x14ac:dyDescent="0.35">
      <c r="B49" s="31"/>
      <c r="C49" s="36"/>
      <c r="D49" s="31"/>
      <c r="E49" s="31"/>
      <c r="F49" s="37"/>
      <c r="G49" s="31"/>
      <c r="H49" s="31"/>
    </row>
    <row r="50" spans="2:8" ht="15" thickBot="1" x14ac:dyDescent="0.35">
      <c r="B50" s="31"/>
      <c r="C50" s="42" t="s">
        <v>26</v>
      </c>
      <c r="D50" s="31"/>
      <c r="E50" s="31"/>
      <c r="F50" s="44">
        <f>F54-F24</f>
        <v>15000</v>
      </c>
      <c r="G50" s="31"/>
      <c r="H50" s="31"/>
    </row>
    <row r="51" spans="2:8" ht="15" thickBot="1" x14ac:dyDescent="0.35">
      <c r="B51" s="31"/>
      <c r="C51" s="36"/>
      <c r="D51" s="31"/>
      <c r="E51" s="31"/>
      <c r="F51" s="37"/>
      <c r="G51" s="31"/>
      <c r="H51" s="31"/>
    </row>
    <row r="52" spans="2:8" ht="15" thickBot="1" x14ac:dyDescent="0.35">
      <c r="B52" s="31"/>
      <c r="C52" s="41" t="s">
        <v>27</v>
      </c>
      <c r="D52" s="39"/>
      <c r="E52" s="39"/>
      <c r="F52" s="44">
        <f>F36-F54</f>
        <v>2303.9900000000016</v>
      </c>
      <c r="G52" s="31"/>
      <c r="H52" s="31"/>
    </row>
    <row r="53" spans="2:8" ht="15" thickBot="1" x14ac:dyDescent="0.35">
      <c r="B53" s="31"/>
      <c r="C53" s="36"/>
      <c r="D53" s="31"/>
      <c r="E53" s="31"/>
      <c r="F53" s="37"/>
      <c r="G53" s="31"/>
      <c r="H53" s="31"/>
    </row>
    <row r="54" spans="2:8" ht="15" thickBot="1" x14ac:dyDescent="0.35">
      <c r="B54" s="31"/>
      <c r="C54" s="41" t="s">
        <v>28</v>
      </c>
      <c r="D54" s="31"/>
      <c r="E54" s="31"/>
      <c r="F54" s="105">
        <v>30000</v>
      </c>
      <c r="G54" s="31"/>
      <c r="H54" s="31"/>
    </row>
    <row r="55" spans="2:8" x14ac:dyDescent="0.3">
      <c r="B55" s="31"/>
      <c r="C55" s="67" t="s">
        <v>29</v>
      </c>
      <c r="D55" s="31"/>
      <c r="E55" s="31"/>
      <c r="F55" s="65">
        <f>Formula!C49</f>
        <v>32303.99</v>
      </c>
      <c r="G55" s="31"/>
      <c r="H55" s="31"/>
    </row>
    <row r="56" spans="2:8" ht="15" thickBot="1" x14ac:dyDescent="0.35">
      <c r="B56" s="31"/>
      <c r="C56" s="68" t="s">
        <v>30</v>
      </c>
      <c r="D56" s="39"/>
      <c r="E56" s="39"/>
      <c r="F56" s="66">
        <f>Formula!C50</f>
        <v>27489.31</v>
      </c>
      <c r="G56" s="31"/>
      <c r="H56" s="31"/>
    </row>
    <row r="57" spans="2:8" x14ac:dyDescent="0.3">
      <c r="B57" s="31"/>
      <c r="C57" s="31"/>
      <c r="D57" s="31"/>
      <c r="E57" s="31"/>
      <c r="F57" s="47" t="str">
        <f>IF(F54="","",IF(OR($F54&gt;$F55,$F54&lt;$F56),"Error",""))</f>
        <v/>
      </c>
      <c r="G57" s="31"/>
      <c r="H57" s="31"/>
    </row>
    <row r="58" spans="2:8" ht="36.75" customHeight="1" x14ac:dyDescent="0.3">
      <c r="B58" s="31"/>
      <c r="C58" s="31"/>
      <c r="D58" s="31"/>
      <c r="E58" s="31"/>
      <c r="F58" s="70" t="str">
        <f>IF($F54="","",IF(OR($F54&gt;$F55,$F54&lt;$F56),"Elected Amount is not within upper and lower limits parameters",""))</f>
        <v/>
      </c>
      <c r="G58" s="31"/>
      <c r="H58" s="31"/>
    </row>
  </sheetData>
  <mergeCells count="5">
    <mergeCell ref="C3:H3"/>
    <mergeCell ref="C38:G39"/>
    <mergeCell ref="C41:G41"/>
    <mergeCell ref="C43:G43"/>
    <mergeCell ref="C45:G45"/>
  </mergeCells>
  <conditionalFormatting sqref="F25">
    <cfRule type="cellIs" dxfId="1" priority="1" operator="equal">
      <formula>"No"</formula>
    </cfRule>
  </conditionalFormatting>
  <conditionalFormatting sqref="F57">
    <cfRule type="expression" dxfId="0" priority="14">
      <formula>AND($F$54&lt;&gt;"",OR($F$54&gt;$F$55,$F$54&lt;$F$56))</formula>
    </cfRule>
  </conditionalFormatting>
  <pageMargins left="0.25" right="0.25" top="0.75" bottom="0.75" header="0.3" footer="0.3"/>
  <pageSetup scale="7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67938-9029-4B7B-9909-85AC5AFB3441}">
  <sheetPr codeName="Sheet2"/>
  <dimension ref="B2:R50"/>
  <sheetViews>
    <sheetView showGridLines="0" topLeftCell="A18" zoomScale="85" zoomScaleNormal="85" workbookViewId="0">
      <selection activeCell="F23" sqref="F23"/>
    </sheetView>
  </sheetViews>
  <sheetFormatPr defaultColWidth="9.109375" defaultRowHeight="14.4" x14ac:dyDescent="0.3"/>
  <cols>
    <col min="1" max="1" width="1.88671875" customWidth="1"/>
    <col min="2" max="2" width="71.109375" customWidth="1"/>
    <col min="3" max="3" width="22.44140625" customWidth="1"/>
    <col min="4" max="4" width="29.6640625" customWidth="1"/>
    <col min="5" max="5" width="5.6640625" customWidth="1"/>
    <col min="6" max="6" width="62" customWidth="1"/>
    <col min="7" max="7" width="22.44140625" customWidth="1"/>
    <col min="8" max="8" width="72.88671875" customWidth="1"/>
  </cols>
  <sheetData>
    <row r="2" spans="2:18" x14ac:dyDescent="0.3">
      <c r="B2" s="2" t="s">
        <v>31</v>
      </c>
      <c r="C2" s="3"/>
      <c r="D2" s="121"/>
      <c r="E2" s="3"/>
      <c r="F2" s="4"/>
    </row>
    <row r="3" spans="2:18" x14ac:dyDescent="0.3">
      <c r="B3" s="9" t="s">
        <v>32</v>
      </c>
      <c r="C3" s="117">
        <v>33</v>
      </c>
      <c r="D3" s="4" t="s">
        <v>33</v>
      </c>
      <c r="E3" s="4"/>
      <c r="F3" s="102"/>
    </row>
    <row r="4" spans="2:18" x14ac:dyDescent="0.3">
      <c r="B4" s="9" t="s">
        <v>34</v>
      </c>
      <c r="C4" s="118">
        <v>2.3578000000000001</v>
      </c>
      <c r="D4" s="4" t="s">
        <v>33</v>
      </c>
      <c r="E4" s="4"/>
    </row>
    <row r="5" spans="2:18" x14ac:dyDescent="0.3">
      <c r="B5" s="9" t="s">
        <v>35</v>
      </c>
      <c r="C5" s="123">
        <v>12.22</v>
      </c>
      <c r="D5" s="4" t="s">
        <v>83</v>
      </c>
      <c r="E5" s="8"/>
      <c r="F5" s="102"/>
    </row>
    <row r="6" spans="2:18" x14ac:dyDescent="0.3">
      <c r="B6" s="9" t="s">
        <v>36</v>
      </c>
      <c r="C6" s="119">
        <v>1E-4</v>
      </c>
      <c r="D6" s="4" t="s">
        <v>33</v>
      </c>
      <c r="E6" s="8"/>
    </row>
    <row r="7" spans="2:18" x14ac:dyDescent="0.3">
      <c r="E7" s="109"/>
    </row>
    <row r="8" spans="2:18" x14ac:dyDescent="0.3">
      <c r="B8" s="84" t="s">
        <v>37</v>
      </c>
    </row>
    <row r="9" spans="2:18" x14ac:dyDescent="0.3">
      <c r="B9" s="9" t="s">
        <v>38</v>
      </c>
      <c r="C9" s="124">
        <f>1954986775.5+877787875.8</f>
        <v>2832774651.3000002</v>
      </c>
      <c r="D9" s="4" t="s">
        <v>39</v>
      </c>
      <c r="E9" s="4"/>
    </row>
    <row r="10" spans="2:18" x14ac:dyDescent="0.3">
      <c r="B10" s="9" t="s">
        <v>80</v>
      </c>
      <c r="C10" s="122">
        <v>94074959</v>
      </c>
      <c r="D10" s="4" t="s">
        <v>39</v>
      </c>
      <c r="E10" s="4"/>
    </row>
    <row r="12" spans="2:18" x14ac:dyDescent="0.3">
      <c r="C12" s="31" t="s">
        <v>40</v>
      </c>
      <c r="D12" s="31" t="s">
        <v>41</v>
      </c>
    </row>
    <row r="13" spans="2:18" x14ac:dyDescent="0.3">
      <c r="B13" s="2" t="s">
        <v>42</v>
      </c>
      <c r="C13" s="93">
        <f>'Lundin Mining S.85 Calculator'!F11</f>
        <v>1000</v>
      </c>
      <c r="D13" s="93">
        <f>'Lundin Mining S.85 Calculator'!F11</f>
        <v>1000</v>
      </c>
      <c r="E13" s="7" t="s">
        <v>43</v>
      </c>
      <c r="F13" s="7"/>
      <c r="G13" s="3"/>
      <c r="H13" s="3"/>
    </row>
    <row r="14" spans="2:18" x14ac:dyDescent="0.3">
      <c r="B14" s="2" t="s">
        <v>44</v>
      </c>
      <c r="C14" s="94">
        <f>'Lundin Mining S.85 Calculator'!F24</f>
        <v>15000</v>
      </c>
      <c r="D14" s="94">
        <f>'Lundin Mining S.85 Calculator'!F24</f>
        <v>15000</v>
      </c>
      <c r="E14" s="7" t="s">
        <v>43</v>
      </c>
      <c r="F14" s="7"/>
      <c r="G14" s="3"/>
      <c r="H14" s="3"/>
    </row>
    <row r="15" spans="2:18" ht="15" thickBot="1" x14ac:dyDescent="0.35">
      <c r="B15" s="2"/>
      <c r="C15" s="27"/>
      <c r="D15" s="7"/>
      <c r="E15" s="7"/>
      <c r="G15" s="3"/>
      <c r="H15" s="3"/>
    </row>
    <row r="16" spans="2:18" x14ac:dyDescent="0.3">
      <c r="B16" s="10" t="s">
        <v>45</v>
      </c>
      <c r="C16" s="83"/>
      <c r="D16" s="16"/>
      <c r="E16" s="6"/>
      <c r="F16" s="7"/>
      <c r="G16" s="4"/>
      <c r="H16" s="4"/>
      <c r="I16" s="4"/>
      <c r="J16" s="4"/>
      <c r="K16" s="4"/>
      <c r="L16" s="4"/>
      <c r="M16" s="4"/>
      <c r="N16" s="4"/>
      <c r="O16" s="4"/>
      <c r="P16" s="4"/>
      <c r="Q16" s="4"/>
      <c r="R16" s="4"/>
    </row>
    <row r="17" spans="2:18" x14ac:dyDescent="0.3">
      <c r="B17" s="11" t="s">
        <v>46</v>
      </c>
      <c r="C17" s="126">
        <v>137528011</v>
      </c>
      <c r="D17" s="108" t="s">
        <v>47</v>
      </c>
      <c r="E17" s="6"/>
      <c r="F17" s="120"/>
      <c r="G17" s="99"/>
      <c r="H17" s="4"/>
      <c r="I17" s="4"/>
      <c r="J17" s="4"/>
      <c r="K17" s="4"/>
      <c r="L17" s="4"/>
      <c r="M17" s="4"/>
      <c r="N17" s="4"/>
      <c r="O17" s="4"/>
      <c r="P17" s="4"/>
      <c r="Q17" s="4"/>
      <c r="R17" s="4"/>
    </row>
    <row r="18" spans="2:18" x14ac:dyDescent="0.3">
      <c r="B18" s="11"/>
      <c r="C18" s="106"/>
      <c r="D18" s="17"/>
      <c r="E18" s="6"/>
      <c r="F18" s="7"/>
      <c r="G18" s="100"/>
      <c r="H18" s="4"/>
      <c r="I18" s="4"/>
      <c r="J18" s="4"/>
      <c r="K18" s="4"/>
      <c r="L18" s="4"/>
      <c r="M18" s="4"/>
      <c r="N18" s="4"/>
      <c r="O18" s="4"/>
      <c r="P18" s="4"/>
      <c r="Q18" s="4"/>
      <c r="R18" s="4"/>
    </row>
    <row r="19" spans="2:18" x14ac:dyDescent="0.3">
      <c r="B19" s="12"/>
      <c r="C19" s="106"/>
      <c r="D19" s="17"/>
      <c r="E19" s="6"/>
      <c r="F19" s="7"/>
      <c r="G19" s="4"/>
      <c r="H19" s="4"/>
      <c r="I19" s="4"/>
      <c r="J19" s="4"/>
      <c r="K19" s="4"/>
      <c r="L19" s="4"/>
      <c r="M19" s="4"/>
      <c r="N19" s="4"/>
      <c r="O19" s="4"/>
      <c r="P19" s="4"/>
      <c r="Q19" s="4"/>
      <c r="R19" s="4"/>
    </row>
    <row r="20" spans="2:18" x14ac:dyDescent="0.3">
      <c r="B20" s="13"/>
      <c r="C20" s="107"/>
      <c r="D20" s="14" t="s">
        <v>48</v>
      </c>
      <c r="E20" s="6" t="s">
        <v>49</v>
      </c>
      <c r="F20" s="6" t="s">
        <v>50</v>
      </c>
      <c r="G20" s="4"/>
      <c r="H20" s="4"/>
      <c r="I20" s="4"/>
      <c r="J20" s="4"/>
      <c r="K20" s="4"/>
      <c r="L20" s="4"/>
      <c r="M20" s="4"/>
      <c r="N20" s="4"/>
      <c r="O20" s="4"/>
      <c r="P20" s="4"/>
      <c r="Q20" s="4"/>
      <c r="R20" s="4"/>
    </row>
    <row r="21" spans="2:18" x14ac:dyDescent="0.3">
      <c r="B21" s="11" t="s">
        <v>81</v>
      </c>
      <c r="C21" s="125">
        <f>78815370.93+24234819</f>
        <v>103050189.93000001</v>
      </c>
      <c r="D21" s="103">
        <f>C21*C3</f>
        <v>3400656267.6900001</v>
      </c>
      <c r="E21" s="7" t="str">
        <f>IF(D21&gt;C9,"Yes","No")</f>
        <v>Yes</v>
      </c>
      <c r="F21" s="25">
        <f>C21/C17</f>
        <v>0.74930328142388392</v>
      </c>
      <c r="G21" s="4"/>
      <c r="H21" s="4"/>
      <c r="I21" s="4"/>
      <c r="J21" s="4"/>
      <c r="K21" s="4"/>
      <c r="L21" s="4"/>
      <c r="M21" s="4"/>
      <c r="N21" s="4"/>
      <c r="O21" s="4"/>
      <c r="P21" s="4"/>
      <c r="Q21" s="4"/>
      <c r="R21" s="4"/>
    </row>
    <row r="22" spans="2:18" x14ac:dyDescent="0.3">
      <c r="B22" s="11" t="s">
        <v>82</v>
      </c>
      <c r="C22" s="133">
        <v>22690915.070000004</v>
      </c>
      <c r="D22" s="134">
        <f>C22*C4</f>
        <v>53500639.552046016</v>
      </c>
      <c r="E22" s="7" t="str">
        <f>IF(D22&gt;C10,"Yes","No")</f>
        <v>No</v>
      </c>
      <c r="F22" s="25">
        <f>C22/C17</f>
        <v>0.16499122546024464</v>
      </c>
      <c r="G22" s="4"/>
      <c r="H22" s="4"/>
      <c r="I22" s="4"/>
      <c r="J22" s="4"/>
      <c r="K22" s="4"/>
      <c r="L22" s="4"/>
      <c r="M22" s="4"/>
      <c r="N22" s="4"/>
      <c r="O22" s="4"/>
      <c r="P22" s="4"/>
      <c r="Q22" s="4"/>
      <c r="R22" s="4"/>
    </row>
    <row r="23" spans="2:18" x14ac:dyDescent="0.3">
      <c r="B23" s="135"/>
      <c r="C23" s="136"/>
      <c r="D23" s="137"/>
      <c r="E23" s="6"/>
      <c r="F23" s="7"/>
      <c r="G23" s="3"/>
      <c r="H23" s="3"/>
    </row>
    <row r="24" spans="2:18" x14ac:dyDescent="0.3">
      <c r="B24" s="135"/>
      <c r="C24" s="136"/>
      <c r="D24" s="137"/>
      <c r="E24" s="6"/>
      <c r="F24" s="7"/>
      <c r="G24" s="3"/>
      <c r="H24" s="3"/>
    </row>
    <row r="25" spans="2:18" x14ac:dyDescent="0.3">
      <c r="B25" s="135"/>
      <c r="C25" s="136"/>
      <c r="D25" s="137"/>
      <c r="E25" s="6"/>
      <c r="F25" s="7"/>
      <c r="G25" s="3"/>
      <c r="H25" s="3"/>
    </row>
    <row r="26" spans="2:18" x14ac:dyDescent="0.3">
      <c r="B26" s="135"/>
      <c r="C26" s="136"/>
      <c r="D26" s="137"/>
      <c r="E26" s="6"/>
      <c r="F26" s="7"/>
      <c r="G26" s="3"/>
      <c r="H26" s="3"/>
    </row>
    <row r="27" spans="2:18" ht="15" thickBot="1" x14ac:dyDescent="0.35">
      <c r="B27" s="3"/>
      <c r="C27" s="6"/>
      <c r="D27" s="6"/>
      <c r="E27" s="95"/>
      <c r="F27" s="7"/>
      <c r="G27" s="3"/>
      <c r="H27" s="3"/>
    </row>
    <row r="28" spans="2:18" x14ac:dyDescent="0.3">
      <c r="B28" s="10" t="s">
        <v>51</v>
      </c>
      <c r="C28" s="77" t="s">
        <v>52</v>
      </c>
      <c r="D28" s="16" t="s">
        <v>3</v>
      </c>
      <c r="E28" s="6"/>
      <c r="F28" s="7"/>
      <c r="G28" s="3"/>
      <c r="H28" s="3"/>
    </row>
    <row r="29" spans="2:18" x14ac:dyDescent="0.3">
      <c r="B29" s="11" t="s">
        <v>53</v>
      </c>
      <c r="C29" s="85">
        <f>C3*C37</f>
        <v>27.48927152122911</v>
      </c>
      <c r="D29" s="113">
        <f>C3*(1-G37)</f>
        <v>0</v>
      </c>
      <c r="E29" s="30"/>
      <c r="F29" s="7"/>
      <c r="G29" s="96"/>
      <c r="H29" s="5"/>
    </row>
    <row r="30" spans="2:18" x14ac:dyDescent="0.3">
      <c r="B30" s="11" t="s">
        <v>54</v>
      </c>
      <c r="C30" s="127">
        <f>C4*(1-C37)</f>
        <v>0.39373320021957581</v>
      </c>
      <c r="D30" s="128">
        <f>C4*G37</f>
        <v>2.3578000000000001</v>
      </c>
      <c r="E30" s="98"/>
      <c r="F30" s="7"/>
      <c r="H30" s="3"/>
    </row>
    <row r="31" spans="2:18" ht="15" thickBot="1" x14ac:dyDescent="0.35">
      <c r="B31" s="15" t="s">
        <v>55</v>
      </c>
      <c r="C31" s="129">
        <v>1E-4</v>
      </c>
      <c r="D31" s="114">
        <v>1E-4</v>
      </c>
      <c r="E31" s="30"/>
      <c r="F31" s="7"/>
      <c r="G31" s="115"/>
      <c r="H31" s="3"/>
    </row>
    <row r="32" spans="2:18" x14ac:dyDescent="0.3">
      <c r="B32" s="2"/>
      <c r="C32" s="6"/>
      <c r="D32" s="6"/>
      <c r="E32" s="6"/>
      <c r="F32" s="7"/>
      <c r="G32" s="3"/>
      <c r="H32" s="3"/>
    </row>
    <row r="33" spans="2:8" ht="15" thickBot="1" x14ac:dyDescent="0.35">
      <c r="B33" s="2"/>
      <c r="C33" s="6"/>
      <c r="D33" s="6"/>
      <c r="E33" s="6"/>
      <c r="F33" s="7"/>
      <c r="G33" s="3"/>
      <c r="H33" s="3"/>
    </row>
    <row r="34" spans="2:8" x14ac:dyDescent="0.3">
      <c r="B34" s="18" t="s">
        <v>56</v>
      </c>
      <c r="C34" s="19"/>
      <c r="D34" s="6"/>
      <c r="E34" s="6"/>
      <c r="F34" s="18" t="s">
        <v>57</v>
      </c>
      <c r="G34" s="19"/>
      <c r="H34" s="3"/>
    </row>
    <row r="35" spans="2:8" x14ac:dyDescent="0.3">
      <c r="B35" s="20" t="s">
        <v>58</v>
      </c>
      <c r="C35" s="78" t="str">
        <f>E21</f>
        <v>Yes</v>
      </c>
      <c r="D35" s="7"/>
      <c r="E35" s="7"/>
      <c r="F35" s="20" t="s">
        <v>59</v>
      </c>
      <c r="G35" s="78" t="str">
        <f>E22</f>
        <v>No</v>
      </c>
      <c r="H35" s="3"/>
    </row>
    <row r="36" spans="2:8" x14ac:dyDescent="0.3">
      <c r="B36" s="20" t="s">
        <v>60</v>
      </c>
      <c r="C36" s="86">
        <f>C21*C3</f>
        <v>3400656267.6900001</v>
      </c>
      <c r="E36" s="7"/>
      <c r="F36" s="24" t="s">
        <v>61</v>
      </c>
      <c r="G36" s="90">
        <f>C22*C4</f>
        <v>53500639.552046016</v>
      </c>
      <c r="H36" s="3"/>
    </row>
    <row r="37" spans="2:8" x14ac:dyDescent="0.3">
      <c r="B37" s="20" t="s">
        <v>62</v>
      </c>
      <c r="C37" s="97">
        <f>IF(C35="yes",C9/C36,1)</f>
        <v>0.83300822791603368</v>
      </c>
      <c r="D37" s="26" t="s">
        <v>65</v>
      </c>
      <c r="E37" s="7"/>
      <c r="F37" s="20" t="s">
        <v>64</v>
      </c>
      <c r="G37" s="97">
        <f>IF(G35="yes",C10/G36,1)</f>
        <v>1</v>
      </c>
      <c r="H37" s="26" t="s">
        <v>63</v>
      </c>
    </row>
    <row r="38" spans="2:8" x14ac:dyDescent="0.3">
      <c r="B38" s="20" t="s">
        <v>66</v>
      </c>
      <c r="C38" s="116">
        <f>ROUND(C13*C29,6)</f>
        <v>27489.271520999999</v>
      </c>
      <c r="D38" s="26" t="s">
        <v>67</v>
      </c>
      <c r="E38" s="6"/>
      <c r="F38" s="20" t="s">
        <v>68</v>
      </c>
      <c r="G38" s="110">
        <f>ROUND(D13*D30,6)</f>
        <v>2357.8000000000002</v>
      </c>
      <c r="H38" s="26" t="s">
        <v>67</v>
      </c>
    </row>
    <row r="39" spans="2:8" ht="30" customHeight="1" x14ac:dyDescent="0.3">
      <c r="B39" s="20" t="s">
        <v>68</v>
      </c>
      <c r="C39" s="112">
        <f>ROUND(C13*C30,6)</f>
        <v>393.73320000000001</v>
      </c>
      <c r="D39" s="26" t="s">
        <v>67</v>
      </c>
      <c r="E39" s="6"/>
      <c r="F39" s="20" t="s">
        <v>69</v>
      </c>
      <c r="G39" s="90">
        <f>ROUND(G38,0)</f>
        <v>2358</v>
      </c>
      <c r="H39" s="111" t="s">
        <v>70</v>
      </c>
    </row>
    <row r="40" spans="2:8" ht="86.4" x14ac:dyDescent="0.3">
      <c r="B40" s="20" t="s">
        <v>69</v>
      </c>
      <c r="C40" s="90">
        <f>ROUNDUP(C39,0)</f>
        <v>394</v>
      </c>
      <c r="D40" s="111" t="s">
        <v>70</v>
      </c>
      <c r="E40" s="6"/>
      <c r="F40" s="20" t="s">
        <v>71</v>
      </c>
      <c r="G40" s="87">
        <f>IF(G35="No",0,ROUND(D13*D29,2))</f>
        <v>0</v>
      </c>
      <c r="H40" s="26" t="s">
        <v>72</v>
      </c>
    </row>
    <row r="41" spans="2:8" x14ac:dyDescent="0.3">
      <c r="B41" s="21" t="s">
        <v>36</v>
      </c>
      <c r="C41" s="88">
        <f>ROUND(C40*C31,2)</f>
        <v>0.04</v>
      </c>
      <c r="D41" s="26" t="s">
        <v>72</v>
      </c>
      <c r="E41" s="6"/>
      <c r="F41" s="21" t="s">
        <v>36</v>
      </c>
      <c r="G41" s="88">
        <f>ROUND(G39*D31,2)</f>
        <v>0.24</v>
      </c>
      <c r="H41" s="26" t="s">
        <v>72</v>
      </c>
    </row>
    <row r="42" spans="2:8" ht="15.75" customHeight="1" x14ac:dyDescent="0.3">
      <c r="B42" s="28" t="s">
        <v>73</v>
      </c>
      <c r="C42" s="87">
        <f>ROUND(C38+C41,2)</f>
        <v>27489.31</v>
      </c>
      <c r="D42" s="26" t="s">
        <v>72</v>
      </c>
      <c r="E42" s="6"/>
      <c r="F42" s="28" t="s">
        <v>73</v>
      </c>
      <c r="G42" s="87">
        <f>ROUND(G40+G41,2)</f>
        <v>0.24</v>
      </c>
      <c r="H42" s="26" t="s">
        <v>72</v>
      </c>
    </row>
    <row r="43" spans="2:8" x14ac:dyDescent="0.3">
      <c r="B43" s="82" t="s">
        <v>74</v>
      </c>
      <c r="C43" s="88">
        <f>C40*$C$5</f>
        <v>4814.68</v>
      </c>
      <c r="D43" s="26"/>
      <c r="E43" s="6"/>
      <c r="F43" s="82" t="s">
        <v>74</v>
      </c>
      <c r="G43" s="88">
        <f>G39*$C$5</f>
        <v>28814.760000000002</v>
      </c>
      <c r="H43" s="26"/>
    </row>
    <row r="44" spans="2:8" ht="15" thickBot="1" x14ac:dyDescent="0.35">
      <c r="B44" s="52" t="s">
        <v>75</v>
      </c>
      <c r="C44" s="89">
        <f>SUM(C42:C43)</f>
        <v>32303.99</v>
      </c>
      <c r="D44" s="6"/>
      <c r="E44" s="6"/>
      <c r="F44" s="52" t="s">
        <v>75</v>
      </c>
      <c r="G44" s="89">
        <f>SUM(G42:G43)</f>
        <v>28815.000000000004</v>
      </c>
      <c r="H44" s="3"/>
    </row>
    <row r="45" spans="2:8" x14ac:dyDescent="0.3">
      <c r="B45" s="3"/>
      <c r="C45" s="6"/>
      <c r="D45" s="6"/>
      <c r="E45" s="6"/>
      <c r="F45" s="7"/>
      <c r="G45" s="3"/>
      <c r="H45" s="3"/>
    </row>
    <row r="46" spans="2:8" ht="15" thickBot="1" x14ac:dyDescent="0.35">
      <c r="C46" s="5"/>
    </row>
    <row r="47" spans="2:8" x14ac:dyDescent="0.3">
      <c r="B47" s="53" t="s">
        <v>76</v>
      </c>
      <c r="C47" s="54"/>
      <c r="F47" s="53" t="s">
        <v>76</v>
      </c>
      <c r="G47" s="54"/>
    </row>
    <row r="48" spans="2:8" x14ac:dyDescent="0.3">
      <c r="B48" s="22" t="s">
        <v>77</v>
      </c>
      <c r="C48" s="91"/>
      <c r="F48" s="22" t="s">
        <v>77</v>
      </c>
      <c r="G48" s="91">
        <f>'Lundin Mining S.85 Calculator'!F54</f>
        <v>30000</v>
      </c>
    </row>
    <row r="49" spans="2:7" x14ac:dyDescent="0.3">
      <c r="B49" s="22" t="s">
        <v>78</v>
      </c>
      <c r="C49" s="91">
        <f>C44</f>
        <v>32303.99</v>
      </c>
      <c r="F49" s="22" t="s">
        <v>78</v>
      </c>
      <c r="G49" s="91">
        <f>G44</f>
        <v>28815.000000000004</v>
      </c>
    </row>
    <row r="50" spans="2:7" ht="15" thickBot="1" x14ac:dyDescent="0.35">
      <c r="B50" s="23" t="s">
        <v>79</v>
      </c>
      <c r="C50" s="92">
        <f>MAX(C14,SUM(C42:C42))</f>
        <v>27489.31</v>
      </c>
      <c r="F50" s="23" t="s">
        <v>79</v>
      </c>
      <c r="G50" s="92">
        <f>MAX(D14,SUM(G42:G42))</f>
        <v>15000</v>
      </c>
    </row>
  </sheetData>
  <dataValidations disablePrompts="1" count="1">
    <dataValidation type="decimal" allowBlank="1" showInputMessage="1" showErrorMessage="1" sqref="C48 G48" xr:uid="{DADD0B10-9F55-474E-A027-3E5BE94A6216}">
      <formula1>C50</formula1>
      <formula2>C49</formula2>
    </dataValidation>
  </dataValidations>
  <pageMargins left="0.7" right="0.7" top="0.75" bottom="0.75" header="0.3" footer="0.3"/>
  <pageSetup orientation="portrait" horizont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45260BB0561348977394CC9A07257A" ma:contentTypeVersion="4" ma:contentTypeDescription="Create a new document." ma:contentTypeScope="" ma:versionID="4d830673013a79d978517acff8c2c85c">
  <xsd:schema xmlns:xsd="http://www.w3.org/2001/XMLSchema" xmlns:xs="http://www.w3.org/2001/XMLSchema" xmlns:p="http://schemas.microsoft.com/office/2006/metadata/properties" xmlns:ns2="fd17102d-cad4-4c45-bc50-6cfe7864058a" targetNamespace="http://schemas.microsoft.com/office/2006/metadata/properties" ma:root="true" ma:fieldsID="6ff12bbae3c30dfdf64e9fe557eb9fad" ns2:_="">
    <xsd:import namespace="fd17102d-cad4-4c45-bc50-6cfe786405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7102d-cad4-4c45-bc50-6cfe786405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567365-5C64-441B-9E4F-9C0FCEEEA16F}">
  <ds:schemaRefs>
    <ds:schemaRef ds:uri="http://schemas.microsoft.com/office/2006/metadata/properties"/>
    <ds:schemaRef ds:uri="http://schemas.microsoft.com/office/infopath/2007/PartnerControls"/>
    <ds:schemaRef ds:uri="35818088-e62d-4edf-bbb6-409430aef268"/>
    <ds:schemaRef ds:uri="06ee4c3e-6495-48ea-b511-4012a2f6950d"/>
    <ds:schemaRef ds:uri="4f287a07-1cdd-40b9-8719-d7ca1fc828d3"/>
    <ds:schemaRef ds:uri="31cd3ccc-ffba-4675-baf4-95a144992d39"/>
  </ds:schemaRefs>
</ds:datastoreItem>
</file>

<file path=customXml/itemProps2.xml><?xml version="1.0" encoding="utf-8"?>
<ds:datastoreItem xmlns:ds="http://schemas.openxmlformats.org/officeDocument/2006/customXml" ds:itemID="{A2462B44-C3F2-4159-9D67-A50B8442E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7102d-cad4-4c45-bc50-6cfe786405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524FC7-A5C9-40BF-8482-FCE647C8CF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Lundin Mining S.85 Calculator</vt:lpstr>
      <vt:lpstr>Formula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Gagandeep Singh</dc:creator>
  <cp:keywords/>
  <dc:description/>
  <cp:lastModifiedBy>Alicia Qin</cp:lastModifiedBy>
  <cp:revision/>
  <dcterms:created xsi:type="dcterms:W3CDTF">2021-12-21T17:16:50Z</dcterms:created>
  <dcterms:modified xsi:type="dcterms:W3CDTF">2025-01-20T16:35:57Z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0x010100D945260BB0561348977394CC9A07257A</vt:lpwstr>
  </property>
  <property fmtid="{D5CDD505-2E9C-101B-9397-08002B2CF9AE}" pid="3" name="Jurisdiction">
    <vt:lpwstr>3;#Canada|62bd6bfa-f739-49e3-9999-82059d73c7de</vt:lpwstr>
  </property>
  <property fmtid="{D5CDD505-2E9C-101B-9397-08002B2CF9AE}" pid="4" name="ContentLanguage">
    <vt:lpwstr>5;#English|556a818d-2fa5-4ece-a7c0-2ca1d2dc5c77</vt:lpwstr>
  </property>
  <property fmtid="{D5CDD505-2E9C-101B-9397-08002B2CF9AE}" pid="5" name="_dlc_DocIdItemGuid">
    <vt:lpwstr>c45a429c-97b9-4760-aa15-7de3c734d969</vt:lpwstr>
  </property>
  <property fmtid="{D5CDD505-2E9C-101B-9397-08002B2CF9AE}" pid="6" name="TaxServiceLine">
    <vt:lpwstr>9;#Buy Side and Sell Side Transactions Structuring (Tax)|4377bde9-5504-414b-b380-47064717648e</vt:lpwstr>
  </property>
  <property fmtid="{D5CDD505-2E9C-101B-9397-08002B2CF9AE}" pid="7" name="FileName">
    <vt:lpwstr/>
  </property>
</Properties>
</file>